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'Foaie1'!$A$1:$P$62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<sst xmlns="http://schemas.openxmlformats.org/spreadsheetml/2006/main" count="63" uniqueCount="61">
  <si>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</si>
  <si>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</si>
  <si>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</si>
  <si>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</si>
  <si>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</si>
  <si>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</si>
  <si>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</si>
  <si>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</si>
  <si>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</si>
  <si>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</si>
  <si>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</si>
  <si>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</si>
  <si>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</si>
  <si>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</si>
  <si>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</si>
  <si>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</si>
  <si>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</si>
  <si>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</si>
  <si>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</si>
  <si>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</si>
  <si>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</si>
  <si>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</si>
  <si>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</si>
  <si>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</si>
  <si>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</si>
  <si>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</si>
  <si>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</si>
  <si>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</si>
  <si>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</si>
  <si>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</si>
  <si>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</si>
  <si>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</si>
  <si>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</si>
  <si>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</si>
  <si>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</si>
  <si>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</si>
  <si>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</si>
  <si>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>SC AVS BALNEO THETAPY SRL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</si>
  <si>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</si>
  <si>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</si>
  <si>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</si>
  <si>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</si>
  <si>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ACUPUNCTURA PROCENT DIN RECUPERARE</t>
  </si>
  <si>
    <t>10,3%</t>
  </si>
  <si>
    <t>VAL PCT APARAT IAN-FEB  2023</t>
  </si>
  <si>
    <t>VAL PCT PERSONAL IAN-FEB 2023</t>
  </si>
  <si>
    <t>REPARTIZATA CONFORM PUNCTAJELOR PENTRU FURNIZORII DE SERVICII MEDICALE DE MEDICINA FIZICA SI DE REABILITARE</t>
  </si>
  <si>
    <t>SITUATIA  SUMELOR AFERENTE LUNII MARTIE 2023</t>
  </si>
  <si>
    <t>TOTAL VALOARE CONTRACT LUNA MARTIE 2023</t>
  </si>
  <si>
    <t>BUGET ALOCAT AN  2023</t>
  </si>
  <si>
    <t>TOTAL BUGET ALOCAT RECUPERARE SI ACUPUNCTURA IANUARIE-MARTIE 2023</t>
  </si>
  <si>
    <t xml:space="preserve">TOTAL VALOARE CONTRACT IAN-FEB 2023 </t>
  </si>
  <si>
    <t xml:space="preserve">TOTAL VALOARE DISPONIBILA MART 2023 </t>
  </si>
  <si>
    <t>TOTAL VAL ALOCATA RECUPERARE SI ACUPUNCTURA IANUARIE-MARTIE 2023</t>
  </si>
  <si>
    <t>VALOARE ALOCATA ACUPUNCTURA  IAN-MART 2023</t>
  </si>
  <si>
    <t xml:space="preserve">VALOARE ALOCATA RECUPERARE FARA ACUPUNCTURA IAN-MART 2023 </t>
  </si>
  <si>
    <t>VALOARE CONTRACT ACUPUNCTURA  IAN-FEB 2023</t>
  </si>
  <si>
    <t>VALOARE RECUPERARE MARTIE 2023</t>
  </si>
  <si>
    <t>TOTAL VAL ALOCATA RECUPERARE IANUARIE-MARTIE 2023</t>
  </si>
  <si>
    <t>TOTAL VAL CONTRACT RECUPERARE IANUARIE-MARTIE 2023</t>
  </si>
  <si>
    <t>VALOARE ACUPUNCTURA MARTIE 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</si>
</sst>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G59" sqref="G59"/>
    </sheetView>
  </sheetViews>
  <sheetFormatPr defaultColWidth="9.140625" defaultRowHeight="12.75"/>
  <cols>
    <col min="1" max="1" width="9.7109375" style="15" customWidth="1"/>
    <col min="2" max="2" width="66.421875" style="23" customWidth="1"/>
    <col min="3" max="3" width="14.421875" style="6" customWidth="1"/>
    <col min="4" max="4" width="15.28125" style="6" customWidth="1"/>
    <col min="5" max="5" width="13.00390625" style="6" customWidth="1"/>
    <col min="6" max="6" width="10.7109375" style="6" customWidth="1"/>
    <col min="7" max="7" width="10.57421875" style="6" customWidth="1"/>
    <col min="8" max="8" width="12.421875" style="6" customWidth="1"/>
    <col min="9" max="9" width="15.140625" style="6" customWidth="1"/>
    <col min="10" max="10" width="14.421875" style="6" customWidth="1"/>
    <col min="11" max="11" width="10.8515625" style="6" customWidth="1"/>
    <col min="12" max="12" width="11.140625" style="6" customWidth="1"/>
    <col min="13" max="13" width="13.421875" style="6" customWidth="1"/>
    <col min="14" max="14" width="12.57421875" style="6" customWidth="1"/>
    <col min="15" max="15" width="13.00390625" style="6" hidden="1" customWidth="1"/>
    <col min="16" max="16" width="13.00390625" style="6" customWidth="1"/>
    <col min="17" max="17" width="18.00390625" style="6" customWidth="1"/>
    <col min="18" max="16384" width="9.140625" style="6" customWidth="1"/>
  </cols>
  <sheetData>
    <row r="1" spans="1:16" ht="14.25">
      <c r="A1" s="6"/>
      <c r="C1" s="12"/>
      <c r="D1" s="12"/>
      <c r="E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6" s="15" customFormat="1" ht="18">
      <c r="A2" s="12"/>
      <c r="B2" s="6"/>
      <c r="C2" s="6"/>
      <c r="D2" s="6"/>
      <c r="E2" s="6"/>
      <c r="F2" s="13"/>
    </row>
    <row r="3" spans="2:8" ht="18">
      <c r="B3" s="15"/>
      <c r="C3" s="13" t="s">
        <v>47</v>
      </c>
      <c r="D3" s="12"/>
      <c r="E3" s="12"/>
      <c r="H3" s="12"/>
    </row>
    <row r="4" spans="1:8" ht="18">
      <c r="A4" s="6"/>
      <c r="B4" s="13" t="s">
        <v>46</v>
      </c>
      <c r="C4" s="15"/>
      <c r="D4" s="15"/>
      <c r="E4" s="15"/>
      <c r="F4" s="15"/>
      <c r="G4" s="15"/>
      <c r="H4" s="12"/>
    </row>
    <row r="5" spans="1:16" ht="18">
      <c r="A5" s="12"/>
      <c r="B5" s="24"/>
      <c r="C5" s="13"/>
      <c r="D5" s="15"/>
      <c r="E5" s="15"/>
      <c r="F5" s="15"/>
      <c r="G5" s="15"/>
      <c r="H5" s="12"/>
      <c r="I5" s="12"/>
      <c r="O5" s="18"/>
      <c r="P5" s="18"/>
    </row>
    <row r="6" spans="1:16" ht="87.75" customHeight="1">
      <c r="A6" s="16" t="s">
        <v>5</v>
      </c>
      <c r="B6" s="25" t="s">
        <v>0</v>
      </c>
      <c r="C6" s="2" t="s">
        <v>7</v>
      </c>
      <c r="D6" s="2" t="s">
        <v>36</v>
      </c>
      <c r="E6" s="2" t="s">
        <v>30</v>
      </c>
      <c r="F6" s="2" t="s">
        <v>10</v>
      </c>
      <c r="G6" s="2" t="s">
        <v>29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40</v>
      </c>
      <c r="N6" s="2" t="s">
        <v>41</v>
      </c>
      <c r="O6" s="2" t="s">
        <v>48</v>
      </c>
      <c r="P6" s="2" t="s">
        <v>48</v>
      </c>
    </row>
    <row r="7" spans="1:17" s="15" customFormat="1" ht="38.25" customHeight="1" hidden="1">
      <c r="A7" s="2"/>
      <c r="B7" s="25" t="s">
        <v>31</v>
      </c>
      <c r="C7" s="1">
        <v>0</v>
      </c>
      <c r="D7" s="1">
        <v>0</v>
      </c>
      <c r="E7" s="1">
        <v>0</v>
      </c>
      <c r="F7" s="14">
        <v>0</v>
      </c>
      <c r="G7" s="14">
        <v>0</v>
      </c>
      <c r="H7" s="1">
        <v>0</v>
      </c>
      <c r="I7" s="1">
        <v>0</v>
      </c>
      <c r="J7" s="14">
        <f>G7+H7</f>
        <v>0</v>
      </c>
      <c r="K7" s="1">
        <v>0</v>
      </c>
      <c r="L7" s="14">
        <v>0</v>
      </c>
      <c r="M7" s="14">
        <f>J7*$D$53</f>
        <v>0</v>
      </c>
      <c r="N7" s="14">
        <f>K7*$D$55</f>
        <v>0</v>
      </c>
      <c r="O7" s="14">
        <f>M7+N7</f>
        <v>0</v>
      </c>
      <c r="P7" s="14">
        <f>ROUND(O7,2)</f>
        <v>0</v>
      </c>
      <c r="Q7" s="26"/>
    </row>
    <row r="8" spans="1:17" s="15" customFormat="1" ht="27" customHeight="1">
      <c r="A8" s="2">
        <v>1</v>
      </c>
      <c r="B8" s="25" t="s">
        <v>12</v>
      </c>
      <c r="C8" s="1">
        <v>244</v>
      </c>
      <c r="D8" s="1">
        <v>91</v>
      </c>
      <c r="E8" s="1">
        <f>107.5-10-10-10</f>
        <v>77.5</v>
      </c>
      <c r="F8" s="14">
        <f aca="true" t="shared" si="0" ref="F8:F18">E8/D8</f>
        <v>0.8516483516483516</v>
      </c>
      <c r="G8" s="14">
        <f>C8*F8</f>
        <v>207.80219780219778</v>
      </c>
      <c r="H8" s="1">
        <v>60</v>
      </c>
      <c r="I8" s="1">
        <v>0</v>
      </c>
      <c r="J8" s="14">
        <f aca="true" t="shared" si="1" ref="J8:J13">G8+H8+I8</f>
        <v>267.8021978021978</v>
      </c>
      <c r="K8" s="1">
        <f>182.5+2-15-30+15-15</f>
        <v>139.5</v>
      </c>
      <c r="L8" s="14">
        <f aca="true" t="shared" si="2" ref="L8:L31">J8+K8</f>
        <v>407.3021978021978</v>
      </c>
      <c r="M8" s="14">
        <f aca="true" t="shared" si="3" ref="M8:M31">J8*$D$53</f>
        <v>5852.045424900968</v>
      </c>
      <c r="N8" s="14">
        <f aca="true" t="shared" si="4" ref="N8:N31">K8*$D$55</f>
        <v>9123.201526846804</v>
      </c>
      <c r="O8" s="14">
        <f aca="true" t="shared" si="5" ref="O8:O31">M8+N8</f>
        <v>14975.246951747773</v>
      </c>
      <c r="P8" s="14">
        <f aca="true" t="shared" si="6" ref="P8:P31">ROUND(O8,2)</f>
        <v>14975.25</v>
      </c>
      <c r="Q8" s="26"/>
    </row>
    <row r="9" spans="1:17" s="15" customFormat="1" ht="24.75" customHeight="1">
      <c r="A9" s="2">
        <v>2</v>
      </c>
      <c r="B9" s="25" t="s">
        <v>14</v>
      </c>
      <c r="C9" s="1">
        <v>117</v>
      </c>
      <c r="D9" s="1">
        <v>36</v>
      </c>
      <c r="E9" s="1">
        <v>40</v>
      </c>
      <c r="F9" s="14">
        <f t="shared" si="0"/>
        <v>1.1111111111111112</v>
      </c>
      <c r="G9" s="14">
        <f>C9</f>
        <v>117</v>
      </c>
      <c r="H9" s="1">
        <v>40</v>
      </c>
      <c r="I9" s="1">
        <v>0</v>
      </c>
      <c r="J9" s="14">
        <f t="shared" si="1"/>
        <v>157</v>
      </c>
      <c r="K9" s="1">
        <f>63+2+2</f>
        <v>67</v>
      </c>
      <c r="L9" s="14">
        <f t="shared" si="2"/>
        <v>224</v>
      </c>
      <c r="M9" s="14">
        <f t="shared" si="3"/>
        <v>3430.7826420008264</v>
      </c>
      <c r="N9" s="14">
        <f t="shared" si="4"/>
        <v>4381.7527046504365</v>
      </c>
      <c r="O9" s="14">
        <f t="shared" si="5"/>
        <v>7812.535346651262</v>
      </c>
      <c r="P9" s="14">
        <f t="shared" si="6"/>
        <v>7812.54</v>
      </c>
      <c r="Q9" s="26"/>
    </row>
    <row r="10" spans="1:17" s="15" customFormat="1" ht="44.25" customHeight="1">
      <c r="A10" s="2">
        <v>3</v>
      </c>
      <c r="B10" s="25" t="s">
        <v>1</v>
      </c>
      <c r="C10" s="1">
        <v>165</v>
      </c>
      <c r="D10" s="1">
        <v>48</v>
      </c>
      <c r="E10" s="1">
        <v>47.21</v>
      </c>
      <c r="F10" s="14">
        <f t="shared" si="0"/>
        <v>0.9835416666666666</v>
      </c>
      <c r="G10" s="14">
        <f>C10*F10</f>
        <v>162.28437499999998</v>
      </c>
      <c r="H10" s="1">
        <v>60</v>
      </c>
      <c r="I10" s="1">
        <v>16</v>
      </c>
      <c r="J10" s="14">
        <f t="shared" si="1"/>
        <v>238.28437499999998</v>
      </c>
      <c r="K10" s="1">
        <f>91.07+2</f>
        <v>93.07</v>
      </c>
      <c r="L10" s="14">
        <f t="shared" si="2"/>
        <v>331.354375</v>
      </c>
      <c r="M10" s="14">
        <f t="shared" si="3"/>
        <v>5207.018456114749</v>
      </c>
      <c r="N10" s="14">
        <f t="shared" si="4"/>
        <v>6086.712301818151</v>
      </c>
      <c r="O10" s="14">
        <f t="shared" si="5"/>
        <v>11293.730757932899</v>
      </c>
      <c r="P10" s="14">
        <f t="shared" si="6"/>
        <v>11293.73</v>
      </c>
      <c r="Q10" s="26"/>
    </row>
    <row r="11" spans="1:17" s="15" customFormat="1" ht="24.75" customHeight="1">
      <c r="A11" s="2">
        <v>4</v>
      </c>
      <c r="B11" s="25" t="s">
        <v>15</v>
      </c>
      <c r="C11" s="1">
        <v>62</v>
      </c>
      <c r="D11" s="1">
        <v>23</v>
      </c>
      <c r="E11" s="1">
        <v>20</v>
      </c>
      <c r="F11" s="14">
        <f t="shared" si="0"/>
        <v>0.8695652173913043</v>
      </c>
      <c r="G11" s="14">
        <f>C11*F11</f>
        <v>53.91304347826087</v>
      </c>
      <c r="H11" s="1">
        <v>60</v>
      </c>
      <c r="I11" s="1">
        <v>0</v>
      </c>
      <c r="J11" s="14">
        <f t="shared" si="1"/>
        <v>113.91304347826087</v>
      </c>
      <c r="K11" s="1">
        <f>45+2</f>
        <v>47</v>
      </c>
      <c r="L11" s="14">
        <f t="shared" si="2"/>
        <v>160.91304347826087</v>
      </c>
      <c r="M11" s="14">
        <f t="shared" si="3"/>
        <v>2489.2413519917377</v>
      </c>
      <c r="N11" s="14">
        <f t="shared" si="4"/>
        <v>3073.7668226652318</v>
      </c>
      <c r="O11" s="14">
        <f t="shared" si="5"/>
        <v>5563.0081746569695</v>
      </c>
      <c r="P11" s="14">
        <f t="shared" si="6"/>
        <v>5563.01</v>
      </c>
      <c r="Q11" s="26"/>
    </row>
    <row r="12" spans="1:17" s="15" customFormat="1" ht="24.75" customHeight="1">
      <c r="A12" s="2">
        <v>5</v>
      </c>
      <c r="B12" s="25" t="s">
        <v>25</v>
      </c>
      <c r="C12" s="1">
        <v>180</v>
      </c>
      <c r="D12" s="1">
        <v>45</v>
      </c>
      <c r="E12" s="1">
        <f>32.5-5+5</f>
        <v>32.5</v>
      </c>
      <c r="F12" s="14">
        <f t="shared" si="0"/>
        <v>0.7222222222222222</v>
      </c>
      <c r="G12" s="14">
        <f>C12*F12</f>
        <v>130</v>
      </c>
      <c r="H12" s="1">
        <v>60</v>
      </c>
      <c r="I12" s="1">
        <v>0</v>
      </c>
      <c r="J12" s="14">
        <f>G12+H12+I12</f>
        <v>190</v>
      </c>
      <c r="K12" s="1">
        <f>75+2-7.5+7.5</f>
        <v>77</v>
      </c>
      <c r="L12" s="14">
        <f>J12+K12</f>
        <v>267</v>
      </c>
      <c r="M12" s="14">
        <f t="shared" si="3"/>
        <v>4151.902560383166</v>
      </c>
      <c r="N12" s="14">
        <f t="shared" si="4"/>
        <v>5035.745645643039</v>
      </c>
      <c r="O12" s="14">
        <f t="shared" si="5"/>
        <v>9187.648206026206</v>
      </c>
      <c r="P12" s="14">
        <f t="shared" si="6"/>
        <v>9187.65</v>
      </c>
      <c r="Q12" s="26"/>
    </row>
    <row r="13" spans="1:17" s="15" customFormat="1" ht="30.75" customHeight="1">
      <c r="A13" s="2">
        <v>6</v>
      </c>
      <c r="B13" s="25" t="s">
        <v>19</v>
      </c>
      <c r="C13" s="1">
        <v>215</v>
      </c>
      <c r="D13" s="1">
        <v>65</v>
      </c>
      <c r="E13" s="1">
        <v>65</v>
      </c>
      <c r="F13" s="14">
        <f t="shared" si="0"/>
        <v>1</v>
      </c>
      <c r="G13" s="14">
        <f>F13*C13</f>
        <v>215</v>
      </c>
      <c r="H13" s="1">
        <v>60</v>
      </c>
      <c r="I13" s="1">
        <v>0</v>
      </c>
      <c r="J13" s="14">
        <f t="shared" si="1"/>
        <v>275</v>
      </c>
      <c r="K13" s="1">
        <f>122.5+4.3</f>
        <v>126.8</v>
      </c>
      <c r="L13" s="14">
        <f>J13+K13</f>
        <v>401.8</v>
      </c>
      <c r="M13" s="14">
        <f t="shared" si="3"/>
        <v>6009.332653186161</v>
      </c>
      <c r="N13" s="14">
        <f t="shared" si="4"/>
        <v>8292.6304917862</v>
      </c>
      <c r="O13" s="14">
        <f t="shared" si="5"/>
        <v>14301.96314497236</v>
      </c>
      <c r="P13" s="14">
        <f t="shared" si="6"/>
        <v>14301.96</v>
      </c>
      <c r="Q13" s="26"/>
    </row>
    <row r="14" spans="1:17" s="15" customFormat="1" ht="36" customHeight="1">
      <c r="A14" s="2">
        <v>7</v>
      </c>
      <c r="B14" s="25" t="s">
        <v>4</v>
      </c>
      <c r="C14" s="1">
        <v>90</v>
      </c>
      <c r="D14" s="1">
        <v>32</v>
      </c>
      <c r="E14" s="1">
        <f>32.5-5-4.29</f>
        <v>23.21</v>
      </c>
      <c r="F14" s="14">
        <f t="shared" si="0"/>
        <v>0.7253125</v>
      </c>
      <c r="G14" s="14">
        <f>C14*F14</f>
        <v>65.278125</v>
      </c>
      <c r="H14" s="1">
        <v>40</v>
      </c>
      <c r="I14" s="1">
        <v>0</v>
      </c>
      <c r="J14" s="14">
        <f aca="true" t="shared" si="7" ref="J14:J25">G14+H14+I14</f>
        <v>105.278125</v>
      </c>
      <c r="K14" s="1">
        <f>85+5-7.5-6.43</f>
        <v>76.07</v>
      </c>
      <c r="L14" s="14">
        <f t="shared" si="2"/>
        <v>181.34812499999998</v>
      </c>
      <c r="M14" s="14">
        <f t="shared" si="3"/>
        <v>2300.550088104416</v>
      </c>
      <c r="N14" s="14">
        <f t="shared" si="4"/>
        <v>4974.924302130727</v>
      </c>
      <c r="O14" s="14">
        <f t="shared" si="5"/>
        <v>7275.474390235142</v>
      </c>
      <c r="P14" s="14">
        <f t="shared" si="6"/>
        <v>7275.47</v>
      </c>
      <c r="Q14" s="26"/>
    </row>
    <row r="15" spans="1:17" s="15" customFormat="1" ht="24.75" customHeight="1" hidden="1">
      <c r="A15" s="2"/>
      <c r="B15" s="25" t="s">
        <v>37</v>
      </c>
      <c r="C15" s="1">
        <f>89-89</f>
        <v>0</v>
      </c>
      <c r="D15" s="1">
        <f>38-38</f>
        <v>0</v>
      </c>
      <c r="E15" s="1">
        <f>35-35</f>
        <v>0</v>
      </c>
      <c r="F15" s="14">
        <v>0</v>
      </c>
      <c r="G15" s="14">
        <f>F15*C15</f>
        <v>0</v>
      </c>
      <c r="H15" s="1">
        <f>40-40</f>
        <v>0</v>
      </c>
      <c r="I15" s="1">
        <v>0</v>
      </c>
      <c r="J15" s="14">
        <f t="shared" si="7"/>
        <v>0</v>
      </c>
      <c r="K15" s="1">
        <f>60.5+2-62.5</f>
        <v>0</v>
      </c>
      <c r="L15" s="14">
        <f t="shared" si="2"/>
        <v>0</v>
      </c>
      <c r="M15" s="14">
        <f t="shared" si="3"/>
        <v>0</v>
      </c>
      <c r="N15" s="14">
        <f t="shared" si="4"/>
        <v>0</v>
      </c>
      <c r="O15" s="14">
        <f t="shared" si="5"/>
        <v>0</v>
      </c>
      <c r="P15" s="14">
        <f t="shared" si="6"/>
        <v>0</v>
      </c>
      <c r="Q15" s="26"/>
    </row>
    <row r="16" spans="1:17" s="15" customFormat="1" ht="24.75" customHeight="1">
      <c r="A16" s="2">
        <v>8</v>
      </c>
      <c r="B16" s="25" t="s">
        <v>16</v>
      </c>
      <c r="C16" s="1">
        <v>108</v>
      </c>
      <c r="D16" s="1">
        <v>40</v>
      </c>
      <c r="E16" s="1">
        <f>30-10+5-5+5</f>
        <v>25</v>
      </c>
      <c r="F16" s="14">
        <f t="shared" si="0"/>
        <v>0.625</v>
      </c>
      <c r="G16" s="14">
        <f>C16*F16</f>
        <v>67.5</v>
      </c>
      <c r="H16" s="1">
        <v>40</v>
      </c>
      <c r="I16" s="1">
        <v>0</v>
      </c>
      <c r="J16" s="14">
        <f t="shared" si="7"/>
        <v>107.5</v>
      </c>
      <c r="K16" s="1">
        <f>69.5+2-15+5-9-7.5+7.5+2</f>
        <v>54.5</v>
      </c>
      <c r="L16" s="14">
        <f t="shared" si="2"/>
        <v>162</v>
      </c>
      <c r="M16" s="14">
        <f t="shared" si="3"/>
        <v>2349.1027644273177</v>
      </c>
      <c r="N16" s="14">
        <f t="shared" si="4"/>
        <v>3564.2615284096833</v>
      </c>
      <c r="O16" s="14">
        <f t="shared" si="5"/>
        <v>5913.364292837001</v>
      </c>
      <c r="P16" s="14">
        <f t="shared" si="6"/>
        <v>5913.36</v>
      </c>
      <c r="Q16" s="26"/>
    </row>
    <row r="17" spans="1:17" s="15" customFormat="1" ht="24.75" customHeight="1">
      <c r="A17" s="2">
        <v>9</v>
      </c>
      <c r="B17" s="25" t="s">
        <v>23</v>
      </c>
      <c r="C17" s="1">
        <v>50</v>
      </c>
      <c r="D17" s="1">
        <v>18</v>
      </c>
      <c r="E17" s="1">
        <v>22.5</v>
      </c>
      <c r="F17" s="14">
        <f t="shared" si="0"/>
        <v>1.25</v>
      </c>
      <c r="G17" s="14">
        <f aca="true" t="shared" si="8" ref="G17:G22">C17</f>
        <v>50</v>
      </c>
      <c r="H17" s="1">
        <v>60</v>
      </c>
      <c r="I17" s="1">
        <v>0</v>
      </c>
      <c r="J17" s="14">
        <f>G17+H17+I17</f>
        <v>110</v>
      </c>
      <c r="K17" s="1">
        <f>49.29+2</f>
        <v>51.29</v>
      </c>
      <c r="L17" s="14">
        <f>J17+K17</f>
        <v>161.29</v>
      </c>
      <c r="M17" s="14">
        <f t="shared" si="3"/>
        <v>2403.7330612744645</v>
      </c>
      <c r="N17" s="14">
        <f t="shared" si="4"/>
        <v>3354.329794351058</v>
      </c>
      <c r="O17" s="14">
        <f t="shared" si="5"/>
        <v>5758.062855625522</v>
      </c>
      <c r="P17" s="14">
        <f t="shared" si="6"/>
        <v>5758.06</v>
      </c>
      <c r="Q17" s="26"/>
    </row>
    <row r="18" spans="1:17" s="15" customFormat="1" ht="30.75" customHeight="1">
      <c r="A18" s="2">
        <v>10</v>
      </c>
      <c r="B18" s="25" t="s">
        <v>22</v>
      </c>
      <c r="C18" s="1">
        <v>80</v>
      </c>
      <c r="D18" s="1">
        <v>22</v>
      </c>
      <c r="E18" s="1">
        <f>22.5-10+8.57</f>
        <v>21.07</v>
      </c>
      <c r="F18" s="14">
        <f t="shared" si="0"/>
        <v>0.9577272727272728</v>
      </c>
      <c r="G18" s="14">
        <f>C18*F18</f>
        <v>76.61818181818182</v>
      </c>
      <c r="H18" s="1">
        <v>60</v>
      </c>
      <c r="I18" s="1">
        <v>0</v>
      </c>
      <c r="J18" s="14">
        <f t="shared" si="7"/>
        <v>136.61818181818182</v>
      </c>
      <c r="K18" s="1">
        <f>50.5+2+2-15+11.25</f>
        <v>50.75</v>
      </c>
      <c r="L18" s="14">
        <f>J18+K18</f>
        <v>187.36818181818182</v>
      </c>
      <c r="M18" s="14">
        <f t="shared" si="3"/>
        <v>2985.396730977905</v>
      </c>
      <c r="N18" s="14">
        <f t="shared" si="4"/>
        <v>3319.0141755374575</v>
      </c>
      <c r="O18" s="14">
        <f t="shared" si="5"/>
        <v>6304.4109065153625</v>
      </c>
      <c r="P18" s="14">
        <f t="shared" si="6"/>
        <v>6304.41</v>
      </c>
      <c r="Q18" s="26"/>
    </row>
    <row r="19" spans="1:17" s="15" customFormat="1" ht="35.25" customHeight="1">
      <c r="A19" s="2">
        <v>11</v>
      </c>
      <c r="B19" s="25" t="s">
        <v>24</v>
      </c>
      <c r="C19" s="1">
        <v>180</v>
      </c>
      <c r="D19" s="1">
        <v>41</v>
      </c>
      <c r="E19" s="1">
        <v>42</v>
      </c>
      <c r="F19" s="14">
        <f>E19/D19</f>
        <v>1.024390243902439</v>
      </c>
      <c r="G19" s="14">
        <f t="shared" si="8"/>
        <v>180</v>
      </c>
      <c r="H19" s="1">
        <v>40</v>
      </c>
      <c r="I19" s="1">
        <v>0</v>
      </c>
      <c r="J19" s="14">
        <f>G19+H19+I19</f>
        <v>220</v>
      </c>
      <c r="K19" s="1">
        <f>78.21+2</f>
        <v>80.21</v>
      </c>
      <c r="L19" s="14">
        <f>J19+K19</f>
        <v>300.21</v>
      </c>
      <c r="M19" s="14">
        <f t="shared" si="3"/>
        <v>4807.466122548929</v>
      </c>
      <c r="N19" s="14">
        <f t="shared" si="4"/>
        <v>5245.677379701664</v>
      </c>
      <c r="O19" s="14">
        <f t="shared" si="5"/>
        <v>10053.143502250594</v>
      </c>
      <c r="P19" s="14">
        <f t="shared" si="6"/>
        <v>10053.14</v>
      </c>
      <c r="Q19" s="26"/>
    </row>
    <row r="20" spans="1:17" s="15" customFormat="1" ht="45" customHeight="1">
      <c r="A20" s="2">
        <v>12</v>
      </c>
      <c r="B20" s="25" t="s">
        <v>20</v>
      </c>
      <c r="C20" s="1">
        <v>60</v>
      </c>
      <c r="D20" s="1">
        <v>18</v>
      </c>
      <c r="E20" s="1">
        <f>30-10</f>
        <v>20</v>
      </c>
      <c r="F20" s="14">
        <f aca="true" t="shared" si="9" ref="F20:F31">E20/D20</f>
        <v>1.1111111111111112</v>
      </c>
      <c r="G20" s="14">
        <f t="shared" si="8"/>
        <v>60</v>
      </c>
      <c r="H20" s="1">
        <v>10</v>
      </c>
      <c r="I20" s="1">
        <v>0</v>
      </c>
      <c r="J20" s="14">
        <f t="shared" si="7"/>
        <v>70</v>
      </c>
      <c r="K20" s="1">
        <f>55+2-10</f>
        <v>47</v>
      </c>
      <c r="L20" s="14">
        <f>J20+K20</f>
        <v>117</v>
      </c>
      <c r="M20" s="14">
        <f t="shared" si="3"/>
        <v>1529.6483117201137</v>
      </c>
      <c r="N20" s="14">
        <f t="shared" si="4"/>
        <v>3073.7668226652318</v>
      </c>
      <c r="O20" s="14">
        <f t="shared" si="5"/>
        <v>4603.4151343853455</v>
      </c>
      <c r="P20" s="14">
        <f t="shared" si="6"/>
        <v>4603.42</v>
      </c>
      <c r="Q20" s="26"/>
    </row>
    <row r="21" spans="1:17" s="15" customFormat="1" ht="29.25" customHeight="1">
      <c r="A21" s="2">
        <v>13</v>
      </c>
      <c r="B21" s="25" t="s">
        <v>27</v>
      </c>
      <c r="C21" s="1">
        <v>205</v>
      </c>
      <c r="D21" s="1">
        <v>70</v>
      </c>
      <c r="E21" s="1">
        <f>210+10</f>
        <v>220</v>
      </c>
      <c r="F21" s="14">
        <f t="shared" si="9"/>
        <v>3.142857142857143</v>
      </c>
      <c r="G21" s="14">
        <f t="shared" si="8"/>
        <v>205</v>
      </c>
      <c r="H21" s="1">
        <v>40</v>
      </c>
      <c r="I21" s="1">
        <v>0</v>
      </c>
      <c r="J21" s="14">
        <f t="shared" si="7"/>
        <v>245</v>
      </c>
      <c r="K21" s="1">
        <f>253.29+4.29+1.14-5.13+15</f>
        <v>268.59</v>
      </c>
      <c r="L21" s="14">
        <f>J21+K21</f>
        <v>513.5899999999999</v>
      </c>
      <c r="M21" s="14">
        <f t="shared" si="3"/>
        <v>5353.769091020398</v>
      </c>
      <c r="N21" s="14">
        <f t="shared" si="4"/>
        <v>17565.596402120307</v>
      </c>
      <c r="O21" s="14">
        <f t="shared" si="5"/>
        <v>22919.365493140707</v>
      </c>
      <c r="P21" s="14">
        <f t="shared" si="6"/>
        <v>22919.37</v>
      </c>
      <c r="Q21" s="26"/>
    </row>
    <row r="22" spans="1:17" s="15" customFormat="1" ht="24.75" customHeight="1">
      <c r="A22" s="2">
        <v>14</v>
      </c>
      <c r="B22" s="25" t="s">
        <v>2</v>
      </c>
      <c r="C22" s="1">
        <v>190</v>
      </c>
      <c r="D22" s="1">
        <v>63</v>
      </c>
      <c r="E22" s="1">
        <f>66.5-40.5+40.5</f>
        <v>66.5</v>
      </c>
      <c r="F22" s="14">
        <f t="shared" si="9"/>
        <v>1.0555555555555556</v>
      </c>
      <c r="G22" s="14">
        <f t="shared" si="8"/>
        <v>190</v>
      </c>
      <c r="H22" s="1">
        <f>60</f>
        <v>60</v>
      </c>
      <c r="I22" s="1">
        <f>40</f>
        <v>40</v>
      </c>
      <c r="J22" s="14">
        <f t="shared" si="7"/>
        <v>290</v>
      </c>
      <c r="K22" s="1">
        <f>120+2.86-11.25-7.5-7.5-7.5-7.5-7.5+48.75</f>
        <v>122.86</v>
      </c>
      <c r="L22" s="14">
        <f t="shared" si="2"/>
        <v>412.86</v>
      </c>
      <c r="M22" s="14">
        <f t="shared" si="3"/>
        <v>6337.114434269042</v>
      </c>
      <c r="N22" s="14">
        <f t="shared" si="4"/>
        <v>8034.957273035114</v>
      </c>
      <c r="O22" s="14">
        <f t="shared" si="5"/>
        <v>14372.071707304156</v>
      </c>
      <c r="P22" s="14">
        <f t="shared" si="6"/>
        <v>14372.07</v>
      </c>
      <c r="Q22" s="26"/>
    </row>
    <row r="23" spans="1:17" s="15" customFormat="1" ht="24.75" customHeight="1">
      <c r="A23" s="2">
        <v>15</v>
      </c>
      <c r="B23" s="25" t="s">
        <v>34</v>
      </c>
      <c r="C23" s="1">
        <v>190</v>
      </c>
      <c r="D23" s="1">
        <v>54</v>
      </c>
      <c r="E23" s="1">
        <v>50</v>
      </c>
      <c r="F23" s="14">
        <f t="shared" si="9"/>
        <v>0.9259259259259259</v>
      </c>
      <c r="G23" s="14">
        <f>C23*F23</f>
        <v>175.92592592592592</v>
      </c>
      <c r="H23" s="1">
        <v>40</v>
      </c>
      <c r="I23" s="1">
        <v>0</v>
      </c>
      <c r="J23" s="14">
        <f t="shared" si="7"/>
        <v>215.92592592592592</v>
      </c>
      <c r="K23" s="1">
        <f>102.5+2</f>
        <v>104.5</v>
      </c>
      <c r="L23" s="14">
        <f t="shared" si="2"/>
        <v>320.4259259259259</v>
      </c>
      <c r="M23" s="14">
        <f t="shared" si="3"/>
        <v>4718.4389721313555</v>
      </c>
      <c r="N23" s="14">
        <f t="shared" si="4"/>
        <v>6834.226233372696</v>
      </c>
      <c r="O23" s="14">
        <f t="shared" si="5"/>
        <v>11552.66520550405</v>
      </c>
      <c r="P23" s="14">
        <f t="shared" si="6"/>
        <v>11552.67</v>
      </c>
      <c r="Q23" s="26"/>
    </row>
    <row r="24" spans="1:17" s="15" customFormat="1" ht="37.5" customHeight="1">
      <c r="A24" s="2">
        <v>16</v>
      </c>
      <c r="B24" s="25" t="s">
        <v>3</v>
      </c>
      <c r="C24" s="1">
        <v>56</v>
      </c>
      <c r="D24" s="1">
        <v>20</v>
      </c>
      <c r="E24" s="1">
        <v>17.5</v>
      </c>
      <c r="F24" s="14">
        <f t="shared" si="9"/>
        <v>0.875</v>
      </c>
      <c r="G24" s="14">
        <f>F24*C24</f>
        <v>49</v>
      </c>
      <c r="H24" s="1">
        <v>40</v>
      </c>
      <c r="I24" s="1">
        <v>0</v>
      </c>
      <c r="J24" s="14">
        <f t="shared" si="7"/>
        <v>89</v>
      </c>
      <c r="K24" s="1">
        <f>42.5+2.86</f>
        <v>45.36</v>
      </c>
      <c r="L24" s="14">
        <f t="shared" si="2"/>
        <v>134.36</v>
      </c>
      <c r="M24" s="14">
        <f t="shared" si="3"/>
        <v>1944.8385677584304</v>
      </c>
      <c r="N24" s="14">
        <f t="shared" si="4"/>
        <v>2966.5119803424445</v>
      </c>
      <c r="O24" s="14">
        <f t="shared" si="5"/>
        <v>4911.350548100875</v>
      </c>
      <c r="P24" s="14">
        <f t="shared" si="6"/>
        <v>4911.35</v>
      </c>
      <c r="Q24" s="26"/>
    </row>
    <row r="25" spans="1:17" s="15" customFormat="1" ht="30.75" customHeight="1">
      <c r="A25" s="2">
        <v>17</v>
      </c>
      <c r="B25" s="25" t="s">
        <v>21</v>
      </c>
      <c r="C25" s="1">
        <v>298</v>
      </c>
      <c r="D25" s="1">
        <v>85</v>
      </c>
      <c r="E25" s="1">
        <v>85</v>
      </c>
      <c r="F25" s="14">
        <f t="shared" si="9"/>
        <v>1</v>
      </c>
      <c r="G25" s="14">
        <f>F25*C25</f>
        <v>298</v>
      </c>
      <c r="H25" s="1">
        <f>300-60</f>
        <v>240</v>
      </c>
      <c r="I25" s="1">
        <v>40</v>
      </c>
      <c r="J25" s="14">
        <f t="shared" si="7"/>
        <v>578</v>
      </c>
      <c r="K25" s="1">
        <f>155+2</f>
        <v>157</v>
      </c>
      <c r="L25" s="14">
        <f>J25+K25</f>
        <v>735</v>
      </c>
      <c r="M25" s="14">
        <f t="shared" si="3"/>
        <v>12630.524631060367</v>
      </c>
      <c r="N25" s="14">
        <f t="shared" si="4"/>
        <v>10267.689173583858</v>
      </c>
      <c r="O25" s="14">
        <f t="shared" si="5"/>
        <v>22898.213804644227</v>
      </c>
      <c r="P25" s="14">
        <f t="shared" si="6"/>
        <v>22898.21</v>
      </c>
      <c r="Q25" s="26"/>
    </row>
    <row r="26" spans="1:17" s="15" customFormat="1" ht="24.75" customHeight="1">
      <c r="A26" s="2">
        <v>18</v>
      </c>
      <c r="B26" s="25" t="s">
        <v>26</v>
      </c>
      <c r="C26" s="1">
        <v>120</v>
      </c>
      <c r="D26" s="1">
        <v>28</v>
      </c>
      <c r="E26" s="1">
        <v>42.5</v>
      </c>
      <c r="F26" s="14">
        <f t="shared" si="9"/>
        <v>1.5178571428571428</v>
      </c>
      <c r="G26" s="14">
        <f>C26</f>
        <v>120</v>
      </c>
      <c r="H26" s="1">
        <f>40+20</f>
        <v>60</v>
      </c>
      <c r="I26" s="1">
        <v>0</v>
      </c>
      <c r="J26" s="14">
        <f>G26+H26+I26</f>
        <v>180</v>
      </c>
      <c r="K26" s="1">
        <f>110+4.29</f>
        <v>114.29</v>
      </c>
      <c r="L26" s="14">
        <f>J26+K26</f>
        <v>294.29</v>
      </c>
      <c r="M26" s="14">
        <f t="shared" si="3"/>
        <v>3933.381372994578</v>
      </c>
      <c r="N26" s="14">
        <f t="shared" si="4"/>
        <v>7474.485322604454</v>
      </c>
      <c r="O26" s="14">
        <f t="shared" si="5"/>
        <v>11407.866695599032</v>
      </c>
      <c r="P26" s="14">
        <f t="shared" si="6"/>
        <v>11407.87</v>
      </c>
      <c r="Q26" s="26"/>
    </row>
    <row r="27" spans="1:17" s="15" customFormat="1" ht="24.75" customHeight="1">
      <c r="A27" s="2">
        <v>19</v>
      </c>
      <c r="B27" s="25" t="s">
        <v>28</v>
      </c>
      <c r="C27" s="1">
        <v>75</v>
      </c>
      <c r="D27" s="1">
        <v>24</v>
      </c>
      <c r="E27" s="1">
        <v>21.5</v>
      </c>
      <c r="F27" s="14">
        <f t="shared" si="9"/>
        <v>0.8958333333333334</v>
      </c>
      <c r="G27" s="14">
        <f>C27*F27</f>
        <v>67.1875</v>
      </c>
      <c r="H27" s="1">
        <v>40</v>
      </c>
      <c r="I27" s="1">
        <v>0</v>
      </c>
      <c r="J27" s="14">
        <f>G27+H27+I27</f>
        <v>107.1875</v>
      </c>
      <c r="K27" s="1">
        <f>52.86+2</f>
        <v>54.86</v>
      </c>
      <c r="L27" s="14">
        <f>J27+K27</f>
        <v>162.0475</v>
      </c>
      <c r="M27" s="14">
        <f t="shared" si="3"/>
        <v>2342.273977321424</v>
      </c>
      <c r="N27" s="14">
        <f t="shared" si="4"/>
        <v>3587.805274285417</v>
      </c>
      <c r="O27" s="14">
        <f t="shared" si="5"/>
        <v>5930.079251606841</v>
      </c>
      <c r="P27" s="14">
        <f t="shared" si="6"/>
        <v>5930.08</v>
      </c>
      <c r="Q27" s="26"/>
    </row>
    <row r="28" spans="1:17" s="15" customFormat="1" ht="24.75" customHeight="1">
      <c r="A28" s="2">
        <v>20</v>
      </c>
      <c r="B28" s="25" t="s">
        <v>32</v>
      </c>
      <c r="C28" s="1">
        <v>140</v>
      </c>
      <c r="D28" s="1">
        <v>38</v>
      </c>
      <c r="E28" s="1">
        <v>42.5</v>
      </c>
      <c r="F28" s="14">
        <f t="shared" si="9"/>
        <v>1.118421052631579</v>
      </c>
      <c r="G28" s="14">
        <f>C28</f>
        <v>140</v>
      </c>
      <c r="H28" s="1">
        <v>40</v>
      </c>
      <c r="I28" s="1">
        <v>0</v>
      </c>
      <c r="J28" s="14">
        <f>G28+H28+I28</f>
        <v>180</v>
      </c>
      <c r="K28" s="1">
        <f>80+2</f>
        <v>82</v>
      </c>
      <c r="L28" s="14">
        <f>J28+K28</f>
        <v>262</v>
      </c>
      <c r="M28" s="14">
        <f t="shared" si="3"/>
        <v>3933.381372994578</v>
      </c>
      <c r="N28" s="14">
        <f t="shared" si="4"/>
        <v>5362.74211613934</v>
      </c>
      <c r="O28" s="14">
        <f t="shared" si="5"/>
        <v>9296.123489133919</v>
      </c>
      <c r="P28" s="14">
        <f t="shared" si="6"/>
        <v>9296.12</v>
      </c>
      <c r="Q28" s="26"/>
    </row>
    <row r="29" spans="1:17" s="15" customFormat="1" ht="24.75" customHeight="1">
      <c r="A29" s="2">
        <v>21</v>
      </c>
      <c r="B29" s="25" t="s">
        <v>33</v>
      </c>
      <c r="C29" s="1">
        <v>145</v>
      </c>
      <c r="D29" s="1">
        <v>36</v>
      </c>
      <c r="E29" s="1">
        <v>77.5</v>
      </c>
      <c r="F29" s="14">
        <f>E29/D29</f>
        <v>2.1527777777777777</v>
      </c>
      <c r="G29" s="14">
        <f>C29</f>
        <v>145</v>
      </c>
      <c r="H29" s="1">
        <f>60-20</f>
        <v>40</v>
      </c>
      <c r="I29" s="1">
        <v>0</v>
      </c>
      <c r="J29" s="14">
        <f>I29+H29+G29</f>
        <v>185</v>
      </c>
      <c r="K29" s="1">
        <f>145+2+10</f>
        <v>157</v>
      </c>
      <c r="L29" s="14">
        <f>J29+K29</f>
        <v>342</v>
      </c>
      <c r="M29" s="14">
        <f t="shared" si="3"/>
        <v>4042.641966688872</v>
      </c>
      <c r="N29" s="14">
        <f t="shared" si="4"/>
        <v>10267.689173583858</v>
      </c>
      <c r="O29" s="14">
        <f t="shared" si="5"/>
        <v>14310.33114027273</v>
      </c>
      <c r="P29" s="14">
        <f t="shared" si="6"/>
        <v>14310.33</v>
      </c>
      <c r="Q29" s="26"/>
    </row>
    <row r="30" spans="1:17" s="15" customFormat="1" ht="33.75" customHeight="1">
      <c r="A30" s="2">
        <v>22</v>
      </c>
      <c r="B30" s="25" t="s">
        <v>35</v>
      </c>
      <c r="C30" s="1">
        <v>130</v>
      </c>
      <c r="D30" s="1">
        <v>42</v>
      </c>
      <c r="E30" s="1">
        <v>35</v>
      </c>
      <c r="F30" s="14">
        <f>E30/D30</f>
        <v>0.8333333333333334</v>
      </c>
      <c r="G30" s="14">
        <f>C30*F30</f>
        <v>108.33333333333334</v>
      </c>
      <c r="H30" s="1">
        <v>60</v>
      </c>
      <c r="I30" s="1">
        <v>0</v>
      </c>
      <c r="J30" s="14">
        <f>G30+H30+I30</f>
        <v>168.33333333333334</v>
      </c>
      <c r="K30" s="1">
        <f>80+3.93</f>
        <v>83.93</v>
      </c>
      <c r="L30" s="14">
        <f t="shared" si="2"/>
        <v>252.26333333333335</v>
      </c>
      <c r="M30" s="14">
        <f t="shared" si="3"/>
        <v>3678.4399877078927</v>
      </c>
      <c r="N30" s="14">
        <f t="shared" si="4"/>
        <v>5488.962753750913</v>
      </c>
      <c r="O30" s="14">
        <f t="shared" si="5"/>
        <v>9167.402741458805</v>
      </c>
      <c r="P30" s="14">
        <f t="shared" si="6"/>
        <v>9167.4</v>
      </c>
      <c r="Q30" s="26"/>
    </row>
    <row r="31" spans="1:17" s="15" customFormat="1" ht="66.75" customHeight="1">
      <c r="A31" s="2">
        <v>23</v>
      </c>
      <c r="B31" s="25" t="s">
        <v>18</v>
      </c>
      <c r="C31" s="1">
        <v>266</v>
      </c>
      <c r="D31" s="1">
        <v>88</v>
      </c>
      <c r="E31" s="1">
        <f>124.5+10</f>
        <v>134.5</v>
      </c>
      <c r="F31" s="14">
        <f t="shared" si="9"/>
        <v>1.5284090909090908</v>
      </c>
      <c r="G31" s="14">
        <f>C31</f>
        <v>266</v>
      </c>
      <c r="H31" s="1">
        <v>60</v>
      </c>
      <c r="I31" s="1">
        <v>40</v>
      </c>
      <c r="J31" s="14">
        <f>G31+H31+I31</f>
        <v>366</v>
      </c>
      <c r="K31" s="1">
        <f>185+2.86+15</f>
        <v>202.86</v>
      </c>
      <c r="L31" s="14">
        <f t="shared" si="2"/>
        <v>568.86</v>
      </c>
      <c r="M31" s="14">
        <f t="shared" si="3"/>
        <v>7997.875458422309</v>
      </c>
      <c r="N31" s="14">
        <f t="shared" si="4"/>
        <v>13266.900800975935</v>
      </c>
      <c r="O31" s="14">
        <f t="shared" si="5"/>
        <v>21264.776259398244</v>
      </c>
      <c r="P31" s="14">
        <f t="shared" si="6"/>
        <v>21264.78</v>
      </c>
      <c r="Q31" s="26"/>
    </row>
    <row r="32" spans="1:17" s="15" customFormat="1" ht="27" customHeight="1">
      <c r="A32" s="2"/>
      <c r="B32" s="25" t="s">
        <v>6</v>
      </c>
      <c r="C32" s="14">
        <f>SUM(C7:C31)</f>
        <v>3366</v>
      </c>
      <c r="D32" s="14">
        <f>SUM(D7:D31)</f>
        <v>1027</v>
      </c>
      <c r="E32" s="14">
        <f>SUM(E7:E31)</f>
        <v>1228.49</v>
      </c>
      <c r="F32" s="14"/>
      <c r="G32" s="14">
        <f>SUM(G7:G31)</f>
        <v>3149.8426823579</v>
      </c>
      <c r="H32" s="1">
        <f>SUM(H7:H31)</f>
        <v>1310</v>
      </c>
      <c r="I32" s="1">
        <f>SUM(I8:I31)</f>
        <v>136</v>
      </c>
      <c r="J32" s="14">
        <f aca="true" t="shared" si="10" ref="J32:O32">SUM(J7:J31)</f>
        <v>4595.8426823579</v>
      </c>
      <c r="K32" s="14">
        <f t="shared" si="10"/>
        <v>2303.4399999999996</v>
      </c>
      <c r="L32" s="14">
        <f t="shared" si="10"/>
        <v>6899.282682357898</v>
      </c>
      <c r="M32" s="14">
        <f t="shared" si="10"/>
        <v>100428.9</v>
      </c>
      <c r="N32" s="14">
        <f t="shared" si="10"/>
        <v>150643.35000000003</v>
      </c>
      <c r="O32" s="14">
        <f t="shared" si="10"/>
        <v>251072.24999999997</v>
      </c>
      <c r="P32" s="14">
        <f>SUM(P7:P31)</f>
        <v>251072.24999999997</v>
      </c>
      <c r="Q32" s="26"/>
    </row>
    <row r="33" spans="1:16" s="15" customFormat="1" ht="22.5" customHeight="1">
      <c r="A33" s="4"/>
      <c r="B33" s="4" t="s">
        <v>49</v>
      </c>
      <c r="C33" s="3">
        <v>1666000</v>
      </c>
      <c r="D33" s="5"/>
      <c r="E33" s="5"/>
      <c r="F33" s="5"/>
      <c r="G33" s="19"/>
      <c r="H33" s="4"/>
      <c r="I33" s="4"/>
      <c r="J33" s="5"/>
      <c r="K33" s="5"/>
      <c r="L33" s="5"/>
      <c r="M33" s="5"/>
      <c r="N33" s="5"/>
      <c r="O33" s="5"/>
      <c r="P33" s="5"/>
    </row>
    <row r="34" spans="1:16" s="15" customFormat="1" ht="15.75" customHeight="1">
      <c r="A34" s="4"/>
      <c r="B34" s="4"/>
      <c r="C34" s="3"/>
      <c r="D34" s="5"/>
      <c r="E34" s="5"/>
      <c r="F34" s="5"/>
      <c r="G34" s="19"/>
      <c r="H34" s="4"/>
      <c r="I34" s="4"/>
      <c r="J34" s="5"/>
      <c r="K34" s="5"/>
      <c r="L34" s="5"/>
      <c r="M34" s="5"/>
      <c r="N34" s="5"/>
      <c r="O34" s="5"/>
      <c r="P34" s="5"/>
    </row>
    <row r="35" spans="1:16" s="15" customFormat="1" ht="29.25" customHeight="1">
      <c r="A35" s="4"/>
      <c r="B35" s="17" t="s">
        <v>50</v>
      </c>
      <c r="C35" s="3">
        <v>832750</v>
      </c>
      <c r="D35" s="5"/>
      <c r="E35" s="5"/>
      <c r="F35" s="5"/>
      <c r="G35" s="19"/>
      <c r="H35" s="4"/>
      <c r="I35" s="4"/>
      <c r="J35" s="5"/>
      <c r="K35" s="5"/>
      <c r="L35" s="5"/>
      <c r="M35" s="5"/>
      <c r="N35" s="5"/>
      <c r="O35" s="5"/>
      <c r="P35" s="5"/>
    </row>
    <row r="36" spans="1:16" s="15" customFormat="1" ht="20.25" customHeight="1">
      <c r="A36" s="4"/>
      <c r="B36" s="17" t="s">
        <v>51</v>
      </c>
      <c r="C36" s="3">
        <v>553051.5</v>
      </c>
      <c r="D36" s="5"/>
      <c r="E36" s="5"/>
      <c r="F36" s="5"/>
      <c r="G36" s="19"/>
      <c r="H36" s="4"/>
      <c r="I36" s="4"/>
      <c r="J36" s="5"/>
      <c r="K36" s="5"/>
      <c r="L36" s="5"/>
      <c r="M36" s="5"/>
      <c r="N36" s="5"/>
      <c r="O36" s="5"/>
      <c r="P36" s="5"/>
    </row>
    <row r="37" spans="1:16" s="15" customFormat="1" ht="24" customHeight="1">
      <c r="A37" s="4"/>
      <c r="B37" s="17" t="s">
        <v>52</v>
      </c>
      <c r="C37" s="3">
        <f>C35-C36</f>
        <v>279698.5</v>
      </c>
      <c r="D37" s="20"/>
      <c r="E37" s="5"/>
      <c r="F37" s="5"/>
      <c r="G37" s="19"/>
      <c r="H37" s="4"/>
      <c r="I37" s="4"/>
      <c r="J37" s="5"/>
      <c r="K37" s="5"/>
      <c r="L37" s="5"/>
      <c r="M37" s="5"/>
      <c r="N37" s="5"/>
      <c r="O37" s="5"/>
      <c r="P37" s="5"/>
    </row>
    <row r="38" spans="1:16" s="15" customFormat="1" ht="15" customHeight="1">
      <c r="A38" s="4"/>
      <c r="B38" s="17"/>
      <c r="C38" s="3"/>
      <c r="D38" s="5"/>
      <c r="E38" s="5"/>
      <c r="F38" s="5"/>
      <c r="G38" s="19"/>
      <c r="H38" s="4"/>
      <c r="I38" s="4"/>
      <c r="J38" s="5"/>
      <c r="K38" s="5"/>
      <c r="L38" s="5"/>
      <c r="M38" s="5"/>
      <c r="N38" s="5"/>
      <c r="O38" s="5"/>
      <c r="P38" s="5"/>
    </row>
    <row r="39" spans="1:16" s="15" customFormat="1" ht="30" customHeight="1">
      <c r="A39" s="4"/>
      <c r="B39" s="17" t="s">
        <v>53</v>
      </c>
      <c r="C39" s="3">
        <v>832750</v>
      </c>
      <c r="D39" s="5"/>
      <c r="E39" s="5"/>
      <c r="F39" s="5"/>
      <c r="G39" s="19"/>
      <c r="H39" s="4"/>
      <c r="I39" s="4"/>
      <c r="J39" s="5"/>
      <c r="K39" s="5"/>
      <c r="L39" s="5"/>
      <c r="M39" s="5"/>
      <c r="N39" s="5"/>
      <c r="O39" s="5"/>
      <c r="P39" s="5"/>
    </row>
    <row r="40" spans="1:16" s="15" customFormat="1" ht="35.25" customHeight="1">
      <c r="A40" s="4"/>
      <c r="B40" s="17" t="s">
        <v>42</v>
      </c>
      <c r="C40" s="31" t="s">
        <v>43</v>
      </c>
      <c r="D40" s="5"/>
      <c r="E40" s="5"/>
      <c r="F40" s="5"/>
      <c r="G40" s="19"/>
      <c r="H40" s="4"/>
      <c r="I40" s="4"/>
      <c r="J40" s="5"/>
      <c r="K40" s="5"/>
      <c r="L40" s="5"/>
      <c r="M40" s="5"/>
      <c r="N40" s="5"/>
      <c r="O40" s="5"/>
      <c r="P40" s="5"/>
    </row>
    <row r="41" spans="1:16" s="15" customFormat="1" ht="21.75" customHeight="1">
      <c r="A41" s="4">
        <v>1</v>
      </c>
      <c r="B41" s="21" t="s">
        <v>54</v>
      </c>
      <c r="C41" s="3">
        <f>C39*10.3%</f>
        <v>85773.25</v>
      </c>
      <c r="D41" s="5"/>
      <c r="E41" s="5"/>
      <c r="F41" s="5"/>
      <c r="G41" s="19"/>
      <c r="H41" s="4"/>
      <c r="I41" s="4"/>
      <c r="J41" s="5"/>
      <c r="K41" s="5"/>
      <c r="L41" s="5"/>
      <c r="M41" s="5"/>
      <c r="N41" s="5"/>
      <c r="O41" s="5"/>
      <c r="P41" s="5"/>
    </row>
    <row r="42" spans="1:16" s="15" customFormat="1" ht="32.25" customHeight="1">
      <c r="A42" s="4">
        <v>2</v>
      </c>
      <c r="B42" s="17" t="s">
        <v>55</v>
      </c>
      <c r="C42" s="3">
        <f>C39-C41</f>
        <v>746976.75</v>
      </c>
      <c r="D42" s="20"/>
      <c r="E42" s="5"/>
      <c r="F42" s="5"/>
      <c r="G42" s="5"/>
      <c r="H42" s="4"/>
      <c r="I42" s="4"/>
      <c r="J42" s="5"/>
      <c r="K42" s="5"/>
      <c r="L42" s="5"/>
      <c r="M42" s="5"/>
      <c r="N42" s="5"/>
      <c r="O42" s="5"/>
      <c r="P42" s="5"/>
    </row>
    <row r="43" spans="1:16" s="15" customFormat="1" ht="18" customHeight="1">
      <c r="A43" s="4"/>
      <c r="B43" s="17"/>
      <c r="C43" s="3"/>
      <c r="D43" s="20"/>
      <c r="E43" s="5"/>
      <c r="F43" s="5"/>
      <c r="G43" s="5"/>
      <c r="H43" s="4"/>
      <c r="I43" s="4"/>
      <c r="J43" s="5"/>
      <c r="K43" s="5"/>
      <c r="L43" s="5"/>
      <c r="M43" s="5"/>
      <c r="N43" s="5"/>
      <c r="O43" s="5"/>
      <c r="P43" s="5"/>
    </row>
    <row r="44" spans="1:16" s="15" customFormat="1" ht="20.25" customHeight="1">
      <c r="A44" s="4"/>
      <c r="B44" s="21" t="s">
        <v>54</v>
      </c>
      <c r="C44" s="3">
        <v>85773.25</v>
      </c>
      <c r="D44" s="20"/>
      <c r="E44" s="5"/>
      <c r="F44" s="5"/>
      <c r="G44" s="5"/>
      <c r="H44" s="4"/>
      <c r="I44" s="4"/>
      <c r="J44" s="5"/>
      <c r="K44" s="5"/>
      <c r="L44" s="5"/>
      <c r="M44" s="5"/>
      <c r="N44" s="5"/>
      <c r="O44" s="5"/>
      <c r="P44" s="5"/>
    </row>
    <row r="45" spans="1:16" s="15" customFormat="1" ht="23.25" customHeight="1">
      <c r="A45" s="4"/>
      <c r="B45" s="21" t="s">
        <v>56</v>
      </c>
      <c r="C45" s="3">
        <v>57147</v>
      </c>
      <c r="D45" s="20"/>
      <c r="E45" s="5"/>
      <c r="F45" s="5"/>
      <c r="G45" s="5"/>
      <c r="H45" s="4"/>
      <c r="I45" s="4"/>
      <c r="J45" s="5"/>
      <c r="K45" s="5"/>
      <c r="L45" s="5"/>
      <c r="M45" s="5"/>
      <c r="N45" s="5"/>
      <c r="O45" s="5"/>
      <c r="P45" s="5"/>
    </row>
    <row r="46" spans="1:16" s="15" customFormat="1" ht="21" customHeight="1">
      <c r="A46" s="4"/>
      <c r="B46" s="17" t="s">
        <v>60</v>
      </c>
      <c r="C46" s="3">
        <f>C44-C45</f>
        <v>28626.25</v>
      </c>
      <c r="D46" s="20"/>
      <c r="E46" s="5"/>
      <c r="F46" s="5"/>
      <c r="G46" s="5"/>
      <c r="H46" s="4"/>
      <c r="I46" s="4"/>
      <c r="J46" s="5"/>
      <c r="K46" s="5"/>
      <c r="L46" s="5"/>
      <c r="M46" s="5"/>
      <c r="N46" s="5"/>
      <c r="O46" s="5"/>
      <c r="P46" s="5"/>
    </row>
    <row r="47" spans="1:16" s="15" customFormat="1" ht="18.75" customHeight="1">
      <c r="A47" s="4"/>
      <c r="B47" s="17"/>
      <c r="C47" s="3"/>
      <c r="D47" s="20"/>
      <c r="E47" s="5"/>
      <c r="F47" s="5"/>
      <c r="G47" s="5"/>
      <c r="H47" s="4"/>
      <c r="I47" s="4"/>
      <c r="J47" s="5"/>
      <c r="K47" s="5"/>
      <c r="L47" s="5"/>
      <c r="M47" s="5"/>
      <c r="N47" s="5"/>
      <c r="O47" s="5"/>
      <c r="P47" s="5"/>
    </row>
    <row r="48" spans="1:16" s="15" customFormat="1" ht="27.75" customHeight="1">
      <c r="A48" s="4"/>
      <c r="B48" s="17" t="s">
        <v>58</v>
      </c>
      <c r="C48" s="3">
        <f>C42</f>
        <v>746976.75</v>
      </c>
      <c r="D48" s="20"/>
      <c r="E48" s="5"/>
      <c r="F48" s="5"/>
      <c r="G48" s="5"/>
      <c r="H48" s="4"/>
      <c r="I48" s="4"/>
      <c r="J48" s="5"/>
      <c r="K48" s="5"/>
      <c r="L48" s="5"/>
      <c r="M48" s="5"/>
      <c r="N48" s="5"/>
      <c r="O48" s="5"/>
      <c r="P48" s="5"/>
    </row>
    <row r="49" spans="1:16" s="15" customFormat="1" ht="32.25" customHeight="1">
      <c r="A49" s="4"/>
      <c r="B49" s="17" t="s">
        <v>59</v>
      </c>
      <c r="C49" s="3">
        <v>495904.5</v>
      </c>
      <c r="D49" s="20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5"/>
    </row>
    <row r="50" spans="1:16" s="15" customFormat="1" ht="18.75" customHeight="1">
      <c r="A50" s="4"/>
      <c r="B50" s="17" t="s">
        <v>57</v>
      </c>
      <c r="C50" s="3">
        <f>C48-C49</f>
        <v>251072.25</v>
      </c>
      <c r="D50" s="20"/>
      <c r="E50" s="20"/>
      <c r="F50" s="5"/>
      <c r="G50" s="5"/>
      <c r="H50" s="5"/>
      <c r="I50" s="4"/>
      <c r="J50" s="5"/>
      <c r="K50" s="5"/>
      <c r="L50" s="5"/>
      <c r="M50" s="5"/>
      <c r="N50" s="5"/>
      <c r="O50" s="5"/>
      <c r="P50" s="5"/>
    </row>
    <row r="51" spans="1:16" s="15" customFormat="1" ht="15.75" customHeight="1">
      <c r="A51" s="4"/>
      <c r="B51" s="17"/>
      <c r="C51" s="3"/>
      <c r="D51" s="20"/>
      <c r="E51" s="5"/>
      <c r="F51" s="5"/>
      <c r="G51" s="5"/>
      <c r="H51" s="5"/>
      <c r="I51" s="4"/>
      <c r="J51" s="5"/>
      <c r="K51" s="5"/>
      <c r="L51" s="5"/>
      <c r="M51" s="5"/>
      <c r="N51" s="5"/>
      <c r="O51" s="5"/>
      <c r="P51" s="5"/>
    </row>
    <row r="52" spans="1:5" s="15" customFormat="1" ht="22.5" customHeight="1">
      <c r="A52" s="4"/>
      <c r="B52" s="8" t="s">
        <v>38</v>
      </c>
      <c r="D52" s="3">
        <f>C50*40%</f>
        <v>100428.90000000001</v>
      </c>
      <c r="E52" s="9"/>
    </row>
    <row r="53" spans="1:5" s="15" customFormat="1" ht="24" customHeight="1">
      <c r="A53" s="4"/>
      <c r="B53" s="8" t="s">
        <v>44</v>
      </c>
      <c r="D53" s="10">
        <f>D52/J32</f>
        <v>21.852118738858767</v>
      </c>
      <c r="E53" s="9"/>
    </row>
    <row r="54" spans="1:5" s="15" customFormat="1" ht="21" customHeight="1">
      <c r="A54" s="4"/>
      <c r="B54" s="8" t="s">
        <v>39</v>
      </c>
      <c r="D54" s="3">
        <f>C50*60%</f>
        <v>150643.35</v>
      </c>
      <c r="E54" s="11"/>
    </row>
    <row r="55" spans="1:9" s="15" customFormat="1" ht="18.75" customHeight="1">
      <c r="A55" s="4"/>
      <c r="B55" s="8" t="s">
        <v>45</v>
      </c>
      <c r="D55" s="10">
        <f>D54/K32</f>
        <v>65.39929409926025</v>
      </c>
      <c r="E55" s="26"/>
      <c r="I55" s="26"/>
    </row>
    <row r="56" spans="1:5" s="15" customFormat="1" ht="18.75" customHeight="1">
      <c r="A56" s="4"/>
      <c r="B56" s="8"/>
      <c r="D56" s="10"/>
      <c r="E56" s="26"/>
    </row>
    <row r="57" spans="1:5" s="15" customFormat="1" ht="18.75" customHeight="1">
      <c r="A57" s="4"/>
      <c r="B57" s="8"/>
      <c r="D57" s="10"/>
      <c r="E57" s="26"/>
    </row>
    <row r="58" spans="2:12" s="15" customFormat="1" ht="15.75">
      <c r="B58" s="30"/>
      <c r="C58" s="7"/>
      <c r="E58" s="27"/>
      <c r="F58" s="28"/>
      <c r="G58" s="29"/>
      <c r="H58" s="28"/>
      <c r="L58" s="26"/>
    </row>
    <row r="59" spans="2:12" s="15" customFormat="1" ht="15.75">
      <c r="B59" s="7"/>
      <c r="D59" s="27"/>
      <c r="E59" s="22"/>
      <c r="I59" s="7"/>
      <c r="L59" s="26"/>
    </row>
    <row r="60" spans="2:9" s="15" customFormat="1" ht="15.75">
      <c r="B60" s="8"/>
      <c r="D60" s="22"/>
      <c r="E60" s="22"/>
      <c r="I60" s="22"/>
    </row>
    <row r="61" spans="2:5" s="15" customFormat="1" ht="15.75">
      <c r="B61" s="8"/>
      <c r="D61" s="22"/>
      <c r="E61" s="22"/>
    </row>
    <row r="62" spans="3:5" s="15" customFormat="1" ht="15.75">
      <c r="C62" s="26"/>
      <c r="D62" s="22"/>
      <c r="E62" s="22"/>
    </row>
    <row r="63" s="15" customFormat="1" ht="15.75">
      <c r="D63" s="22"/>
    </row>
  </sheetData>
  <sheetProtection/>
  <printOptions/>
  <pageMargins left="0.001" right="0.001" top="0.001" bottom="0.001" header="0.236220472440945" footer="0.15748031496063"/>
  <pageSetup horizontalDpi="600" verticalDpi="600" orientation="landscape" paperSize="9" scale="65" r:id="rId1"/>
  <headerFooter alignWithMargins="0">
    <oddFooter>&amp;C&amp;P</oddFooter>
  </headerFooter>
  <rowBreaks count="1" manualBreakCount="1">
    <brk id="28" max="15" man="1"/>
  </rowBreaks>
  <ignoredErrors>
    <ignoredError sqref="J29 I32 G30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2023-03-01T15:19:43Z</cp:lastPrinted>
  <dcterms:created xsi:type="dcterms:W3CDTF">2008-04-09T11:23:43Z</dcterms:created>
  <dcterms:modified xsi:type="dcterms:W3CDTF">2023-03-07T13:20:09Z</dcterms:modified>
  <cp:category/>
  <cp:version/>
  <cp:contentType/>
  <cp:contentStatus/>
</cp:coreProperties>
</file>